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8795" windowHeight="10995"/>
  </bookViews>
  <sheets>
    <sheet name="исп ТС " sheetId="1" r:id="rId1"/>
  </sheets>
  <definedNames>
    <definedName name="_GoBack" localSheetId="0">'исп ТС '!$C$4</definedName>
    <definedName name="_xlnm.Print_Titles" localSheetId="0">'исп ТС '!$4:$4</definedName>
    <definedName name="_xlnm.Print_Area" localSheetId="0">'исп ТС '!$A$1:$G$100</definedName>
  </definedNames>
  <calcPr calcId="125725"/>
</workbook>
</file>

<file path=xl/calcChain.xml><?xml version="1.0" encoding="utf-8"?>
<calcChain xmlns="http://schemas.openxmlformats.org/spreadsheetml/2006/main">
  <c r="F32" i="1"/>
  <c r="E100" l="1"/>
  <c r="F100" s="1"/>
  <c r="F96"/>
  <c r="F95"/>
  <c r="F93"/>
  <c r="E90"/>
  <c r="D90"/>
  <c r="E89"/>
  <c r="F89" s="1"/>
  <c r="E87"/>
  <c r="F87" s="1"/>
  <c r="E83"/>
  <c r="F83" s="1"/>
  <c r="F82"/>
  <c r="E81"/>
  <c r="F81" s="1"/>
  <c r="F80"/>
  <c r="F79"/>
  <c r="F78"/>
  <c r="F77"/>
  <c r="F76"/>
  <c r="F75"/>
  <c r="F74"/>
  <c r="E73"/>
  <c r="F73" s="1"/>
  <c r="F72"/>
  <c r="E70"/>
  <c r="D70"/>
  <c r="F69"/>
  <c r="E69"/>
  <c r="F68"/>
  <c r="E68"/>
  <c r="F67"/>
  <c r="E66"/>
  <c r="F66" s="1"/>
  <c r="E65"/>
  <c r="F65" s="1"/>
  <c r="E64"/>
  <c r="F64" s="1"/>
  <c r="E63"/>
  <c r="F63" s="1"/>
  <c r="F62"/>
  <c r="E61"/>
  <c r="F61" s="1"/>
  <c r="F60"/>
  <c r="D58"/>
  <c r="D56" s="1"/>
  <c r="D55" s="1"/>
  <c r="F54"/>
  <c r="F53"/>
  <c r="E52"/>
  <c r="F52" s="1"/>
  <c r="F51"/>
  <c r="F50"/>
  <c r="F49"/>
  <c r="F48"/>
  <c r="F47"/>
  <c r="F46"/>
  <c r="E45"/>
  <c r="F45" s="1"/>
  <c r="F44"/>
  <c r="F43"/>
  <c r="E42"/>
  <c r="F42" s="1"/>
  <c r="D39"/>
  <c r="F38"/>
  <c r="F37"/>
  <c r="F36"/>
  <c r="F35"/>
  <c r="F34"/>
  <c r="F33"/>
  <c r="F31"/>
  <c r="F30"/>
  <c r="F29"/>
  <c r="F28"/>
  <c r="E27"/>
  <c r="F27" s="1"/>
  <c r="F26"/>
  <c r="F25"/>
  <c r="F24"/>
  <c r="F23"/>
  <c r="F22"/>
  <c r="D20"/>
  <c r="F19"/>
  <c r="E17"/>
  <c r="F17" s="1"/>
  <c r="F16"/>
  <c r="E15"/>
  <c r="F15" s="1"/>
  <c r="E14"/>
  <c r="D12"/>
  <c r="F11"/>
  <c r="F10"/>
  <c r="E9"/>
  <c r="F9" s="1"/>
  <c r="D7"/>
  <c r="F90" l="1"/>
  <c r="D5"/>
  <c r="D84" s="1"/>
  <c r="D86" s="1"/>
  <c r="E41"/>
  <c r="F41" s="1"/>
  <c r="F70"/>
  <c r="E99"/>
  <c r="F99" s="1"/>
  <c r="E7"/>
  <c r="E12"/>
  <c r="F12" s="1"/>
  <c r="E20"/>
  <c r="D91"/>
  <c r="F91" s="1"/>
  <c r="F86"/>
  <c r="E58"/>
  <c r="F7"/>
  <c r="F14"/>
  <c r="E97"/>
  <c r="F97" s="1"/>
  <c r="E39" l="1"/>
  <c r="F39" s="1"/>
  <c r="F20"/>
  <c r="F58"/>
  <c r="E56"/>
  <c r="E5" l="1"/>
  <c r="F5" s="1"/>
  <c r="F56"/>
  <c r="E55"/>
  <c r="F55" l="1"/>
  <c r="E84"/>
  <c r="E85" l="1"/>
  <c r="F85" s="1"/>
  <c r="F84"/>
</calcChain>
</file>

<file path=xl/sharedStrings.xml><?xml version="1.0" encoding="utf-8"?>
<sst xmlns="http://schemas.openxmlformats.org/spreadsheetml/2006/main" count="312" uniqueCount="164">
  <si>
    <t>по состоянию на 1 июля 2017 года</t>
  </si>
  <si>
    <t>Наименование показателей</t>
  </si>
  <si>
    <t>Ед. изм</t>
  </si>
  <si>
    <t>Утвержденная тарифная смета на 2017 год</t>
  </si>
  <si>
    <t>Фактическое исполнение тарифной сметы за 1 полугодие 2017 года</t>
  </si>
  <si>
    <t>Отклонение, %</t>
  </si>
  <si>
    <t>I</t>
  </si>
  <si>
    <t>Затраты на производство товаров и предоставление услуг, всего</t>
  </si>
  <si>
    <t>тыс. тенге</t>
  </si>
  <si>
    <t>в том числе:</t>
  </si>
  <si>
    <t>Материальные затраты всего,</t>
  </si>
  <si>
    <t>1.1</t>
  </si>
  <si>
    <t>Сырье и материалы</t>
  </si>
  <si>
    <t>-//-</t>
  </si>
  <si>
    <t>1.2</t>
  </si>
  <si>
    <t>ГСМ</t>
  </si>
  <si>
    <t>1.3</t>
  </si>
  <si>
    <t>Энергия</t>
  </si>
  <si>
    <r>
      <t>-</t>
    </r>
    <r>
      <rPr>
        <sz val="12"/>
        <color theme="1"/>
        <rFont val="Calibri"/>
        <family val="2"/>
        <charset val="204"/>
        <scheme val="minor"/>
      </rPr>
      <t>//-</t>
    </r>
  </si>
  <si>
    <t>Расходы на оплату труда всего,</t>
  </si>
  <si>
    <t>2.1</t>
  </si>
  <si>
    <t>Заработная плата производственного персонала</t>
  </si>
  <si>
    <t>2.2</t>
  </si>
  <si>
    <t>Социальный налог и социальные отчисления</t>
  </si>
  <si>
    <t>Амортизация</t>
  </si>
  <si>
    <t>Ремонт, всего</t>
  </si>
  <si>
    <t>4.1</t>
  </si>
  <si>
    <t>Капитальный ремонт, не приводящий к увеличению стоимости основных фондов</t>
  </si>
  <si>
    <t xml:space="preserve">Услуги производственного характера, всего </t>
  </si>
  <si>
    <t>5.1</t>
  </si>
  <si>
    <t>Услуги автотранспорта и механизмов</t>
  </si>
  <si>
    <t>5.2</t>
  </si>
  <si>
    <t>Услуги водоснабжения и канализации</t>
  </si>
  <si>
    <t>5.3</t>
  </si>
  <si>
    <t>Поверка средств измерений, защитных средств, допуск бригады</t>
  </si>
  <si>
    <t>5.4</t>
  </si>
  <si>
    <t>Топогеодезические работы</t>
  </si>
  <si>
    <t>5.5</t>
  </si>
  <si>
    <t>Восстановление благоустройства (замена асфальта, брусчатки, газона)</t>
  </si>
  <si>
    <t>5.6</t>
  </si>
  <si>
    <t>Услуги связи</t>
  </si>
  <si>
    <t>5.7</t>
  </si>
  <si>
    <t>Обслуживание, ремонт основных средств</t>
  </si>
  <si>
    <t>5.8</t>
  </si>
  <si>
    <t>Информационное обслуживание</t>
  </si>
  <si>
    <t>5.9</t>
  </si>
  <si>
    <t>Ультразвуковой контроль сварных соединений,  теплоизоляционные работы</t>
  </si>
  <si>
    <t>5.10</t>
  </si>
  <si>
    <t>Расходы по экологии</t>
  </si>
  <si>
    <t>5.11</t>
  </si>
  <si>
    <t>Расходы по энергоаудиту, энергоменеджменту</t>
  </si>
  <si>
    <t>5.12</t>
  </si>
  <si>
    <t>Демеркуризация ртутьсодержащих отходов</t>
  </si>
  <si>
    <t>5.13</t>
  </si>
  <si>
    <t xml:space="preserve">Ремонт теплотехнического, электрооборудования и кислородных баллонов  </t>
  </si>
  <si>
    <t>5.14</t>
  </si>
  <si>
    <t>Техобслуживание транспортных средств</t>
  </si>
  <si>
    <t>5.15</t>
  </si>
  <si>
    <t>Захоронение твердо-бытовых, строительных и производственных отходов</t>
  </si>
  <si>
    <t>5.16</t>
  </si>
  <si>
    <t>Гидрометеорологические услуги</t>
  </si>
  <si>
    <t>5.17</t>
  </si>
  <si>
    <t>Услуги по выдаче экспертного заключения о техническом состоянии основного и вспомогательного оборудования</t>
  </si>
  <si>
    <t>Прочие затраты всего,</t>
  </si>
  <si>
    <t>6.1</t>
  </si>
  <si>
    <t>Безопастность  и  охрана труда</t>
  </si>
  <si>
    <t>спец одежда и СИЗ</t>
  </si>
  <si>
    <t>потребность хозмыла, порошок</t>
  </si>
  <si>
    <t>медикаменты</t>
  </si>
  <si>
    <t>медосмотр</t>
  </si>
  <si>
    <t>спецпитание</t>
  </si>
  <si>
    <t>аттестация рабочих мест</t>
  </si>
  <si>
    <t>противопожарная безопасность</t>
  </si>
  <si>
    <t>промышленная безопасность</t>
  </si>
  <si>
    <t>6.2</t>
  </si>
  <si>
    <t>Обязательное страхование</t>
  </si>
  <si>
    <t>6.3</t>
  </si>
  <si>
    <t>Подготовка кадров</t>
  </si>
  <si>
    <t>6.4</t>
  </si>
  <si>
    <t>Командировочные расходы</t>
  </si>
  <si>
    <t>6.5</t>
  </si>
  <si>
    <t>Канцелярские товары</t>
  </si>
  <si>
    <t>6.6</t>
  </si>
  <si>
    <t>Бланочная продукция</t>
  </si>
  <si>
    <t>II</t>
  </si>
  <si>
    <t>Расходы периода, всего</t>
  </si>
  <si>
    <t>Общие и административные расходы всего,</t>
  </si>
  <si>
    <t>7.1</t>
  </si>
  <si>
    <t>7.1.1</t>
  </si>
  <si>
    <t>Заработная плата административного персонала</t>
  </si>
  <si>
    <t>7.1.2</t>
  </si>
  <si>
    <t>7.2</t>
  </si>
  <si>
    <t>7.3</t>
  </si>
  <si>
    <t>Налоговые платежи и сборы</t>
  </si>
  <si>
    <t>7.4</t>
  </si>
  <si>
    <t>Материалы</t>
  </si>
  <si>
    <t>7.5</t>
  </si>
  <si>
    <t>Коммунальные расходы</t>
  </si>
  <si>
    <t>7.6</t>
  </si>
  <si>
    <t>7.7</t>
  </si>
  <si>
    <t>7.8</t>
  </si>
  <si>
    <t>Информационные, консультационные, аудиторские услуги</t>
  </si>
  <si>
    <t>7.9</t>
  </si>
  <si>
    <t>Услуги банка</t>
  </si>
  <si>
    <t>7.10</t>
  </si>
  <si>
    <t>Прочие расходы всего,</t>
  </si>
  <si>
    <t>7.10.1</t>
  </si>
  <si>
    <t>Охрана объектов</t>
  </si>
  <si>
    <t>7.10.2</t>
  </si>
  <si>
    <t>Содержание оргтехники, обслуживание лицензионных программ</t>
  </si>
  <si>
    <t>7.10.3</t>
  </si>
  <si>
    <t>Проездные билеты</t>
  </si>
  <si>
    <t>7.10.4</t>
  </si>
  <si>
    <t>7.10.5</t>
  </si>
  <si>
    <t>Периодическая печать</t>
  </si>
  <si>
    <t>7.10.6</t>
  </si>
  <si>
    <t>7.10.7</t>
  </si>
  <si>
    <t>Услуги типографии</t>
  </si>
  <si>
    <t>7.10.8</t>
  </si>
  <si>
    <t>7.10.9</t>
  </si>
  <si>
    <t>Хозяйственные товары</t>
  </si>
  <si>
    <t>7.10.10</t>
  </si>
  <si>
    <t>Содержание служебного автотранспорта</t>
  </si>
  <si>
    <t>7.10.11</t>
  </si>
  <si>
    <t>Услуги почты</t>
  </si>
  <si>
    <t>7.10.12</t>
  </si>
  <si>
    <t>Нотариальные услуги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</si>
  <si>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</si>
  <si>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</si>
  <si>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</si>
  <si>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</si>
  <si>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</si>
  <si>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</si>
  <si>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</si>
  <si>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</si>
  <si>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Гкал</t>
  </si>
  <si>
    <t>VII</t>
  </si>
  <si>
    <t>Нормативные технические потери</t>
  </si>
  <si>
    <t xml:space="preserve">% </t>
  </si>
  <si>
    <t>VIII</t>
  </si>
  <si>
    <t>Тариф</t>
  </si>
  <si>
    <t>тенге/Гкал</t>
  </si>
  <si>
    <t>1070</t>
  </si>
  <si>
    <t>Справочно:</t>
  </si>
  <si>
    <t>Среднесписочная численность персонала,</t>
  </si>
  <si>
    <t>чел.</t>
  </si>
  <si>
    <t>8.1</t>
  </si>
  <si>
    <t>Производственный персонал</t>
  </si>
  <si>
    <t>8.2</t>
  </si>
  <si>
    <t>Административный персонал</t>
  </si>
  <si>
    <t>Среднемесячная заработная плата, всего</t>
  </si>
  <si>
    <t>тенге</t>
  </si>
  <si>
    <t>9.1</t>
  </si>
  <si>
    <t>производственного персонала</t>
  </si>
  <si>
    <t>9.2</t>
  </si>
  <si>
    <t>административного персонала</t>
  </si>
  <si>
    <t>№ п/п</t>
  </si>
  <si>
    <t>Информация о ходе исполнения тарифной сметы АО "Астана-Теплотранзит" на регулируемую услугу передача и распределение тепловой энергии  за первое полугодие 2017 года</t>
  </si>
  <si>
    <t>Причины отклонения</t>
  </si>
  <si>
    <t>Отклонение в связи с незаконченным периодом реализации тарифной сметы (01.01.2016-31.12.2016гг.)</t>
  </si>
  <si>
    <t>Увеличение затрат, сложилось за счет превышения фактических затрат на оплату труда над утвержденными. В тарифной смете затраты были приняты в соответствии с требованиями Особого порядка, что изначально было ниже фактических расходов на оплату труда.</t>
  </si>
  <si>
    <t>Экономия сложилась по результатам государственных закупкам</t>
  </si>
  <si>
    <t>Отклонение в связи с незаконченным периодом реализации тарифной сметы (01.01.2017-31.12.2017гг.)</t>
  </si>
  <si>
    <t>Недоукомплектованность штата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</si>
</sst>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[$руб.-419];[Red]&quot;-&quot;#,##0.00[$руб.-419]"/>
    <numFmt numFmtId="166" formatCode="_(* #,##0.00_);_(* \(#,##0.00\);_(* &quot;-&quot;??_);_(@_)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6">
    <xf numFmtId="0" fontId="0" fillId="0" borderId="0"/>
    <xf numFmtId="0" fontId="11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5" fontId="15" fillId="0" borderId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7" fillId="20" borderId="6" applyNumberFormat="0" applyAlignment="0" applyProtection="0"/>
    <xf numFmtId="0" fontId="18" fillId="20" borderId="5" applyNumberFormat="0" applyAlignment="0" applyProtection="0"/>
    <xf numFmtId="0" fontId="18" fillId="20" borderId="5" applyNumberFormat="0" applyAlignment="0" applyProtection="0"/>
    <xf numFmtId="0" fontId="18" fillId="20" borderId="5" applyNumberFormat="0" applyAlignment="0" applyProtection="0"/>
    <xf numFmtId="0" fontId="18" fillId="20" borderId="5" applyNumberFormat="0" applyAlignment="0" applyProtection="0"/>
    <xf numFmtId="0" fontId="18" fillId="20" borderId="5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3" fillId="21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11" fillId="0" borderId="0"/>
    <xf numFmtId="0" fontId="26" fillId="0" borderId="0"/>
    <xf numFmtId="0" fontId="1" fillId="0" borderId="0"/>
    <xf numFmtId="0" fontId="29" fillId="0" borderId="0"/>
    <xf numFmtId="0" fontId="1" fillId="0" borderId="0"/>
    <xf numFmtId="0" fontId="28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11" fillId="23" borderId="12" applyNumberFormat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</cellStyleXfs>
  <cellXfs count="95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4" fillId="0" borderId="0" xfId="0" applyFont="1" applyFill="1" applyAlignment="1">
      <alignment horizontal="right"/>
    </xf>
    <xf numFmtId="49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Fill="1" applyBorder="1"/>
    <xf numFmtId="0" fontId="8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3" fillId="0" borderId="0" xfId="0" applyFont="1" applyFill="1"/>
    <xf numFmtId="0" fontId="35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justify" vertical="center" wrapText="1"/>
    </xf>
    <xf numFmtId="164" fontId="4" fillId="0" borderId="4" xfId="0" applyNumberFormat="1" applyFont="1" applyBorder="1" applyAlignment="1">
      <alignment horizontal="justify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256">
    <cellStyle name="0,0_x000d__x000a_NA_x000d__x000a_" xfId="1"/>
    <cellStyle name="20% - Акцент1 2" xfId="2"/>
    <cellStyle name="20% - Акцент1 3" xfId="3"/>
    <cellStyle name="20% - Акцент1 4" xfId="4"/>
    <cellStyle name="20% - Акцент1 5" xfId="5"/>
    <cellStyle name="20% - Акцент1 6" xfId="6"/>
    <cellStyle name="20% - Акцент2 2" xfId="7"/>
    <cellStyle name="20% - Акцент2 3" xfId="8"/>
    <cellStyle name="20% - Акцент2 4" xfId="9"/>
    <cellStyle name="20% - Акцент2 5" xfId="10"/>
    <cellStyle name="20% - Акцент2 6" xfId="11"/>
    <cellStyle name="20% - Акцент3 2" xfId="12"/>
    <cellStyle name="20% - Акцент3 3" xfId="13"/>
    <cellStyle name="20% - Акцент3 4" xfId="14"/>
    <cellStyle name="20% - Акцент3 5" xfId="15"/>
    <cellStyle name="20% - Акцент3 6" xfId="16"/>
    <cellStyle name="20% - Акцент4 2" xfId="17"/>
    <cellStyle name="20% - Акцент4 3" xfId="18"/>
    <cellStyle name="20% - Акцент4 4" xfId="19"/>
    <cellStyle name="20% - Акцент4 5" xfId="20"/>
    <cellStyle name="20% - Акцент4 6" xfId="21"/>
    <cellStyle name="20% - Акцент5 2" xfId="22"/>
    <cellStyle name="20% - Акцент5 3" xfId="23"/>
    <cellStyle name="20% - Акцент5 4" xfId="24"/>
    <cellStyle name="20% - Акцент5 5" xfId="25"/>
    <cellStyle name="20% - Акцент5 6" xfId="26"/>
    <cellStyle name="20% - Акцент6 2" xfId="27"/>
    <cellStyle name="20% - Акцент6 3" xfId="28"/>
    <cellStyle name="20% - Акцент6 4" xfId="29"/>
    <cellStyle name="20% - Акцент6 5" xfId="30"/>
    <cellStyle name="20% - Акцент6 6" xfId="31"/>
    <cellStyle name="40% - Акцент1 2" xfId="32"/>
    <cellStyle name="40% - Акцент1 3" xfId="33"/>
    <cellStyle name="40% - Акцент1 4" xfId="34"/>
    <cellStyle name="40% - Акцент1 5" xfId="35"/>
    <cellStyle name="40% - Акцент1 6" xfId="36"/>
    <cellStyle name="40% - Акцент2 2" xfId="37"/>
    <cellStyle name="40% - Акцент2 3" xfId="38"/>
    <cellStyle name="40% - Акцент2 4" xfId="39"/>
    <cellStyle name="40% - Акцент2 5" xfId="40"/>
    <cellStyle name="40% - Акцент2 6" xfId="41"/>
    <cellStyle name="40% - Акцент3 2" xfId="42"/>
    <cellStyle name="40% - Акцент3 3" xfId="43"/>
    <cellStyle name="40% - Акцент3 4" xfId="44"/>
    <cellStyle name="40% - Акцент3 5" xfId="45"/>
    <cellStyle name="40% - Акцент3 6" xfId="46"/>
    <cellStyle name="40% - Акцент4 2" xfId="47"/>
    <cellStyle name="40% - Акцент4 3" xfId="48"/>
    <cellStyle name="40% - Акцент4 4" xfId="49"/>
    <cellStyle name="40% - Акцент4 5" xfId="50"/>
    <cellStyle name="40% - Акцент4 6" xfId="51"/>
    <cellStyle name="40% - Акцент5 2" xfId="52"/>
    <cellStyle name="40% - Акцент5 3" xfId="53"/>
    <cellStyle name="40% - Акцент5 4" xfId="54"/>
    <cellStyle name="40% - Акцент5 5" xfId="55"/>
    <cellStyle name="40% - Акцент5 6" xfId="56"/>
    <cellStyle name="40% - Акцент6 2" xfId="57"/>
    <cellStyle name="40% - Акцент6 3" xfId="58"/>
    <cellStyle name="40% - Акцент6 4" xfId="59"/>
    <cellStyle name="40% - Акцент6 5" xfId="60"/>
    <cellStyle name="40% - Акцент6 6" xfId="61"/>
    <cellStyle name="60% - Акцент1 2" xfId="62"/>
    <cellStyle name="60% - Акцент1 3" xfId="63"/>
    <cellStyle name="60% - Акцент1 4" xfId="64"/>
    <cellStyle name="60% - Акцент1 5" xfId="65"/>
    <cellStyle name="60% - Акцент1 6" xfId="66"/>
    <cellStyle name="60% - Акцент2 2" xfId="67"/>
    <cellStyle name="60% - Акцент2 3" xfId="68"/>
    <cellStyle name="60% - Акцент2 4" xfId="69"/>
    <cellStyle name="60% - Акцент2 5" xfId="70"/>
    <cellStyle name="60% - Акцент2 6" xfId="71"/>
    <cellStyle name="60% - Акцент3 2" xfId="72"/>
    <cellStyle name="60% - Акцент3 3" xfId="73"/>
    <cellStyle name="60% - Акцент3 4" xfId="74"/>
    <cellStyle name="60% - Акцент3 5" xfId="75"/>
    <cellStyle name="60% - Акцент3 6" xfId="76"/>
    <cellStyle name="60% - Акцент4 2" xfId="77"/>
    <cellStyle name="60% - Акцент4 3" xfId="78"/>
    <cellStyle name="60% - Акцент4 4" xfId="79"/>
    <cellStyle name="60% - Акцент4 5" xfId="80"/>
    <cellStyle name="60% - Акцент4 6" xfId="81"/>
    <cellStyle name="60% - Акцент5 2" xfId="82"/>
    <cellStyle name="60% - Акцент5 3" xfId="83"/>
    <cellStyle name="60% - Акцент5 4" xfId="84"/>
    <cellStyle name="60% - Акцент5 5" xfId="85"/>
    <cellStyle name="60% - Акцент5 6" xfId="86"/>
    <cellStyle name="60% - Акцент6 2" xfId="87"/>
    <cellStyle name="60% - Акцент6 3" xfId="88"/>
    <cellStyle name="60% - Акцент6 4" xfId="89"/>
    <cellStyle name="60% - Акцент6 5" xfId="90"/>
    <cellStyle name="60% - Акцент6 6" xfId="91"/>
    <cellStyle name="Excel Built-in Normal 1" xfId="92"/>
    <cellStyle name="Heading" xfId="93"/>
    <cellStyle name="Heading1" xfId="94"/>
    <cellStyle name="Result" xfId="95"/>
    <cellStyle name="Result2" xfId="96"/>
    <cellStyle name="Акцент1 2" xfId="97"/>
    <cellStyle name="Акцент1 3" xfId="98"/>
    <cellStyle name="Акцент1 4" xfId="99"/>
    <cellStyle name="Акцент1 5" xfId="100"/>
    <cellStyle name="Акцент1 6" xfId="101"/>
    <cellStyle name="Акцент2 2" xfId="102"/>
    <cellStyle name="Акцент2 3" xfId="103"/>
    <cellStyle name="Акцент2 4" xfId="104"/>
    <cellStyle name="Акцент2 5" xfId="105"/>
    <cellStyle name="Акцент2 6" xfId="106"/>
    <cellStyle name="Акцент3 2" xfId="107"/>
    <cellStyle name="Акцент3 3" xfId="108"/>
    <cellStyle name="Акцент3 4" xfId="109"/>
    <cellStyle name="Акцент3 5" xfId="110"/>
    <cellStyle name="Акцент3 6" xfId="111"/>
    <cellStyle name="Акцент4 2" xfId="112"/>
    <cellStyle name="Акцент4 3" xfId="113"/>
    <cellStyle name="Акцент4 4" xfId="114"/>
    <cellStyle name="Акцент4 5" xfId="115"/>
    <cellStyle name="Акцент4 6" xfId="116"/>
    <cellStyle name="Акцент5 2" xfId="117"/>
    <cellStyle name="Акцент5 3" xfId="118"/>
    <cellStyle name="Акцент5 4" xfId="119"/>
    <cellStyle name="Акцент5 5" xfId="120"/>
    <cellStyle name="Акцент5 6" xfId="121"/>
    <cellStyle name="Акцент6 2" xfId="122"/>
    <cellStyle name="Акцент6 3" xfId="123"/>
    <cellStyle name="Акцент6 4" xfId="124"/>
    <cellStyle name="Акцент6 5" xfId="125"/>
    <cellStyle name="Акцент6 6" xfId="126"/>
    <cellStyle name="Ввод  2" xfId="127"/>
    <cellStyle name="Ввод  3" xfId="128"/>
    <cellStyle name="Ввод  4" xfId="129"/>
    <cellStyle name="Ввод  5" xfId="130"/>
    <cellStyle name="Ввод  6" xfId="131"/>
    <cellStyle name="Вывод 2" xfId="132"/>
    <cellStyle name="Вывод 3" xfId="133"/>
    <cellStyle name="Вывод 4" xfId="134"/>
    <cellStyle name="Вывод 5" xfId="135"/>
    <cellStyle name="Вывод 6" xfId="136"/>
    <cellStyle name="Вычисление 2" xfId="137"/>
    <cellStyle name="Вычисление 3" xfId="138"/>
    <cellStyle name="Вычисление 4" xfId="139"/>
    <cellStyle name="Вычисление 5" xfId="140"/>
    <cellStyle name="Вычисление 6" xfId="141"/>
    <cellStyle name="Заголовок 1 2" xfId="142"/>
    <cellStyle name="Заголовок 1 3" xfId="143"/>
    <cellStyle name="Заголовок 1 4" xfId="144"/>
    <cellStyle name="Заголовок 1 5" xfId="145"/>
    <cellStyle name="Заголовок 1 6" xfId="146"/>
    <cellStyle name="Заголовок 2 2" xfId="147"/>
    <cellStyle name="Заголовок 2 3" xfId="148"/>
    <cellStyle name="Заголовок 2 4" xfId="149"/>
    <cellStyle name="Заголовок 2 5" xfId="150"/>
    <cellStyle name="Заголовок 2 6" xfId="151"/>
    <cellStyle name="Заголовок 3 2" xfId="152"/>
    <cellStyle name="Заголовок 3 3" xfId="153"/>
    <cellStyle name="Заголовок 3 4" xfId="154"/>
    <cellStyle name="Заголовок 3 5" xfId="155"/>
    <cellStyle name="Заголовок 3 6" xfId="156"/>
    <cellStyle name="Заголовок 4 2" xfId="157"/>
    <cellStyle name="Заголовок 4 3" xfId="158"/>
    <cellStyle name="Заголовок 4 4" xfId="159"/>
    <cellStyle name="Заголовок 4 5" xfId="160"/>
    <cellStyle name="Заголовок 4 6" xfId="161"/>
    <cellStyle name="Итог 2" xfId="162"/>
    <cellStyle name="Итог 3" xfId="163"/>
    <cellStyle name="Итог 4" xfId="164"/>
    <cellStyle name="Итог 5" xfId="165"/>
    <cellStyle name="Итог 6" xfId="166"/>
    <cellStyle name="Контрольная ячейка 2" xfId="167"/>
    <cellStyle name="Контрольная ячейка 3" xfId="168"/>
    <cellStyle name="Контрольная ячейка 4" xfId="169"/>
    <cellStyle name="Контрольная ячейка 5" xfId="170"/>
    <cellStyle name="Контрольная ячейка 6" xfId="171"/>
    <cellStyle name="Название 2" xfId="172"/>
    <cellStyle name="Название 3" xfId="173"/>
    <cellStyle name="Название 4" xfId="174"/>
    <cellStyle name="Название 5" xfId="175"/>
    <cellStyle name="Название 6" xfId="176"/>
    <cellStyle name="Нейтральный 2" xfId="177"/>
    <cellStyle name="Нейтральный 3" xfId="178"/>
    <cellStyle name="Нейтральный 4" xfId="179"/>
    <cellStyle name="Нейтральный 5" xfId="180"/>
    <cellStyle name="Нейтральный 6" xfId="181"/>
    <cellStyle name="Обычный" xfId="0" builtinId="0"/>
    <cellStyle name="Обычный 10" xfId="182"/>
    <cellStyle name="Обычный 11" xfId="183"/>
    <cellStyle name="Обычный 12" xfId="184"/>
    <cellStyle name="Обычный 13" xfId="185"/>
    <cellStyle name="Обычный 14" xfId="186"/>
    <cellStyle name="Обычный 15" xfId="187"/>
    <cellStyle name="Обычный 16" xfId="188"/>
    <cellStyle name="Обычный 17" xfId="189"/>
    <cellStyle name="Обычный 18" xfId="190"/>
    <cellStyle name="Обычный 19" xfId="191"/>
    <cellStyle name="Обычный 2" xfId="192"/>
    <cellStyle name="Обычный 2 2" xfId="193"/>
    <cellStyle name="Обычный 2 3" xfId="194"/>
    <cellStyle name="Обычный 2 4" xfId="195"/>
    <cellStyle name="Обычный 2 5" xfId="196"/>
    <cellStyle name="Обычный 2 6" xfId="197"/>
    <cellStyle name="Обычный 2 7" xfId="198"/>
    <cellStyle name="Обычный 2 8" xfId="199"/>
    <cellStyle name="Обычный 20" xfId="200"/>
    <cellStyle name="Обычный 21" xfId="201"/>
    <cellStyle name="Обычный 22" xfId="202"/>
    <cellStyle name="Обычный 23" xfId="203"/>
    <cellStyle name="Обычный 24" xfId="204"/>
    <cellStyle name="Обычный 25" xfId="205"/>
    <cellStyle name="Обычный 26" xfId="206"/>
    <cellStyle name="Обычный 27" xfId="207"/>
    <cellStyle name="Обычный 28" xfId="208"/>
    <cellStyle name="Обычный 29" xfId="209"/>
    <cellStyle name="Обычный 3" xfId="210"/>
    <cellStyle name="Обычный 3 2" xfId="211"/>
    <cellStyle name="Обычный 3 3" xfId="212"/>
    <cellStyle name="Обычный 30" xfId="213"/>
    <cellStyle name="Обычный 4" xfId="214"/>
    <cellStyle name="Обычный 4 2" xfId="215"/>
    <cellStyle name="Обычный 5" xfId="216"/>
    <cellStyle name="Обычный 5 2" xfId="217"/>
    <cellStyle name="Обычный 6" xfId="218"/>
    <cellStyle name="Обычный 6 2" xfId="219"/>
    <cellStyle name="Обычный 7" xfId="220"/>
    <cellStyle name="Обычный 8" xfId="221"/>
    <cellStyle name="Обычный 9" xfId="222"/>
    <cellStyle name="Плохой 2" xfId="223"/>
    <cellStyle name="Плохой 3" xfId="224"/>
    <cellStyle name="Плохой 4" xfId="225"/>
    <cellStyle name="Плохой 5" xfId="226"/>
    <cellStyle name="Плохой 6" xfId="227"/>
    <cellStyle name="Пояснение 2" xfId="228"/>
    <cellStyle name="Пояснение 3" xfId="229"/>
    <cellStyle name="Пояснение 4" xfId="230"/>
    <cellStyle name="Пояснение 5" xfId="231"/>
    <cellStyle name="Пояснение 6" xfId="232"/>
    <cellStyle name="Примечание 2" xfId="233"/>
    <cellStyle name="Примечание 3" xfId="234"/>
    <cellStyle name="Примечание 4" xfId="235"/>
    <cellStyle name="Примечание 5" xfId="236"/>
    <cellStyle name="Примечание 6" xfId="237"/>
    <cellStyle name="Связанная ячейка 2" xfId="238"/>
    <cellStyle name="Связанная ячейка 3" xfId="239"/>
    <cellStyle name="Связанная ячейка 4" xfId="240"/>
    <cellStyle name="Связанная ячейка 5" xfId="241"/>
    <cellStyle name="Связанная ячейка 6" xfId="242"/>
    <cellStyle name="Текст предупреждения 2" xfId="243"/>
    <cellStyle name="Текст предупреждения 3" xfId="244"/>
    <cellStyle name="Текст предупреждения 4" xfId="245"/>
    <cellStyle name="Текст предупреждения 5" xfId="246"/>
    <cellStyle name="Текст предупреждения 6" xfId="247"/>
    <cellStyle name="Финансовый 2" xfId="248"/>
    <cellStyle name="Финансовый 3" xfId="249"/>
    <cellStyle name="Финансовый 4" xfId="250"/>
    <cellStyle name="Хороший 2" xfId="251"/>
    <cellStyle name="Хороший 3" xfId="252"/>
    <cellStyle name="Хороший 4" xfId="253"/>
    <cellStyle name="Хороший 5" xfId="254"/>
    <cellStyle name="Хороший 6" xfId="2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view="pageBreakPreview" zoomScaleNormal="100" zoomScaleSheetLayoutView="100" workbookViewId="0">
      <pane xSplit="3" ySplit="4" topLeftCell="D17" activePane="bottomRight" state="frozen"/>
      <selection pane="topRight" activeCell="D1" sqref="D1"/>
      <selection pane="bottomLeft" activeCell="A6" sqref="A6"/>
      <selection pane="bottomRight" activeCell="E87" sqref="E87"/>
    </sheetView>
  </sheetViews>
  <sheetFormatPr defaultRowHeight="15.75"/>
  <cols>
    <col min="1" max="1" width="9.5703125" style="2" bestFit="1" customWidth="1"/>
    <col min="2" max="2" width="45.42578125" style="1" customWidth="1"/>
    <col min="3" max="3" width="9.140625" style="1"/>
    <col min="4" max="4" width="16.140625" style="1" customWidth="1"/>
    <col min="5" max="5" width="18.7109375" style="66" customWidth="1"/>
    <col min="6" max="6" width="15.140625" style="1" customWidth="1"/>
    <col min="7" max="7" width="35.85546875" style="1" customWidth="1"/>
    <col min="8" max="16384" width="9.140625" style="1"/>
  </cols>
  <sheetData>
    <row r="2" spans="1:7" ht="48" customHeight="1">
      <c r="A2" s="90" t="s">
        <v>157</v>
      </c>
      <c r="B2" s="90"/>
      <c r="C2" s="90"/>
      <c r="D2" s="90"/>
      <c r="E2" s="90"/>
      <c r="F2" s="90"/>
      <c r="G2" s="90"/>
    </row>
    <row r="3" spans="1:7">
      <c r="E3" s="1"/>
      <c r="G3" s="3" t="s">
        <v>0</v>
      </c>
    </row>
    <row r="4" spans="1:7" ht="78.75">
      <c r="A4" s="4" t="s">
        <v>156</v>
      </c>
      <c r="B4" s="5" t="s">
        <v>1</v>
      </c>
      <c r="C4" s="5" t="s">
        <v>2</v>
      </c>
      <c r="D4" s="6" t="s">
        <v>3</v>
      </c>
      <c r="E4" s="7" t="s">
        <v>4</v>
      </c>
      <c r="F4" s="6" t="s">
        <v>5</v>
      </c>
      <c r="G4" s="7" t="s">
        <v>158</v>
      </c>
    </row>
    <row r="5" spans="1:7" ht="31.5">
      <c r="A5" s="8" t="s">
        <v>6</v>
      </c>
      <c r="B5" s="9" t="s">
        <v>7</v>
      </c>
      <c r="C5" s="10" t="s">
        <v>8</v>
      </c>
      <c r="D5" s="11">
        <f>D7+D12+D16+D17+D20+D39</f>
        <v>3637064</v>
      </c>
      <c r="E5" s="12">
        <f>E7+E12+E16+E17+E20+E39</f>
        <v>1908442.9709999999</v>
      </c>
      <c r="F5" s="11">
        <f>E5/D5*100</f>
        <v>52.472075580743152</v>
      </c>
      <c r="G5" s="7"/>
    </row>
    <row r="6" spans="1:7">
      <c r="A6" s="13"/>
      <c r="B6" s="14" t="s">
        <v>9</v>
      </c>
      <c r="C6" s="15"/>
      <c r="D6" s="11"/>
      <c r="E6" s="16"/>
      <c r="F6" s="17"/>
      <c r="G6" s="47"/>
    </row>
    <row r="7" spans="1:7">
      <c r="A7" s="8">
        <v>1</v>
      </c>
      <c r="B7" s="9" t="s">
        <v>10</v>
      </c>
      <c r="C7" s="18"/>
      <c r="D7" s="11">
        <f>D9+D10+D11</f>
        <v>721529</v>
      </c>
      <c r="E7" s="12">
        <f>E9+E10+E11</f>
        <v>313049.89299999998</v>
      </c>
      <c r="F7" s="11">
        <f>E7/D7*100</f>
        <v>43.387014659147447</v>
      </c>
      <c r="G7" s="47"/>
    </row>
    <row r="8" spans="1:7">
      <c r="A8" s="13"/>
      <c r="B8" s="14" t="s">
        <v>9</v>
      </c>
      <c r="C8" s="15"/>
      <c r="D8" s="19"/>
      <c r="E8" s="16"/>
      <c r="F8" s="17"/>
      <c r="G8" s="47"/>
    </row>
    <row r="9" spans="1:7" s="68" customFormat="1" ht="36">
      <c r="A9" s="34" t="s">
        <v>11</v>
      </c>
      <c r="B9" s="35" t="s">
        <v>12</v>
      </c>
      <c r="C9" s="22" t="s">
        <v>13</v>
      </c>
      <c r="D9" s="23">
        <v>240876</v>
      </c>
      <c r="E9" s="24">
        <f>77965.414+17.5+1291.064+365.253</f>
        <v>79639.231</v>
      </c>
      <c r="F9" s="25">
        <f t="shared" ref="F9:F12" si="0">E9/D9*100</f>
        <v>33.062335392484101</v>
      </c>
      <c r="G9" s="67" t="s">
        <v>162</v>
      </c>
    </row>
    <row r="10" spans="1:7" s="68" customFormat="1" ht="36">
      <c r="A10" s="34" t="s">
        <v>14</v>
      </c>
      <c r="B10" s="35" t="s">
        <v>15</v>
      </c>
      <c r="C10" s="22" t="s">
        <v>13</v>
      </c>
      <c r="D10" s="23">
        <v>79654</v>
      </c>
      <c r="E10" s="24">
        <v>30073.723999999998</v>
      </c>
      <c r="F10" s="25">
        <f t="shared" si="0"/>
        <v>37.755447309614077</v>
      </c>
      <c r="G10" s="67" t="s">
        <v>162</v>
      </c>
    </row>
    <row r="11" spans="1:7" s="68" customFormat="1" ht="36">
      <c r="A11" s="34" t="s">
        <v>16</v>
      </c>
      <c r="B11" s="35" t="s">
        <v>17</v>
      </c>
      <c r="C11" s="18" t="s">
        <v>18</v>
      </c>
      <c r="D11" s="23">
        <v>400999</v>
      </c>
      <c r="E11" s="24">
        <v>203336.93799999999</v>
      </c>
      <c r="F11" s="25">
        <f t="shared" si="0"/>
        <v>50.707592288260074</v>
      </c>
      <c r="G11" s="67" t="s">
        <v>162</v>
      </c>
    </row>
    <row r="12" spans="1:7">
      <c r="A12" s="8">
        <v>2</v>
      </c>
      <c r="B12" s="9" t="s">
        <v>19</v>
      </c>
      <c r="C12" s="22" t="s">
        <v>13</v>
      </c>
      <c r="D12" s="11">
        <f t="shared" ref="D12:E12" si="1">D14+D15</f>
        <v>1393780</v>
      </c>
      <c r="E12" s="12">
        <f t="shared" si="1"/>
        <v>759913.73</v>
      </c>
      <c r="F12" s="11">
        <f t="shared" si="0"/>
        <v>54.521784643200498</v>
      </c>
      <c r="G12" s="47"/>
    </row>
    <row r="13" spans="1:7">
      <c r="A13" s="13"/>
      <c r="B13" s="14" t="s">
        <v>9</v>
      </c>
      <c r="C13" s="26"/>
      <c r="D13" s="27"/>
      <c r="E13" s="16"/>
      <c r="F13" s="17"/>
      <c r="G13" s="47"/>
    </row>
    <row r="14" spans="1:7" s="68" customFormat="1" ht="36">
      <c r="A14" s="34" t="s">
        <v>20</v>
      </c>
      <c r="B14" s="35" t="s">
        <v>21</v>
      </c>
      <c r="C14" s="22" t="s">
        <v>13</v>
      </c>
      <c r="D14" s="23">
        <v>1268226</v>
      </c>
      <c r="E14" s="24">
        <f>689070.1+2625.7</f>
        <v>691695.79999999993</v>
      </c>
      <c r="F14" s="25">
        <f>E14/D14*100</f>
        <v>54.54042102905948</v>
      </c>
      <c r="G14" s="67" t="s">
        <v>162</v>
      </c>
    </row>
    <row r="15" spans="1:7" s="68" customFormat="1" ht="36">
      <c r="A15" s="34" t="s">
        <v>22</v>
      </c>
      <c r="B15" s="35" t="s">
        <v>23</v>
      </c>
      <c r="C15" s="22" t="s">
        <v>13</v>
      </c>
      <c r="D15" s="23">
        <v>125554</v>
      </c>
      <c r="E15" s="24">
        <f>689070*0.099</f>
        <v>68217.930000000008</v>
      </c>
      <c r="F15" s="25">
        <f>E15/D15*100</f>
        <v>54.333537760644823</v>
      </c>
      <c r="G15" s="67" t="s">
        <v>162</v>
      </c>
    </row>
    <row r="16" spans="1:7" s="68" customFormat="1" ht="36">
      <c r="A16" s="28">
        <v>3</v>
      </c>
      <c r="B16" s="29" t="s">
        <v>24</v>
      </c>
      <c r="C16" s="30" t="s">
        <v>13</v>
      </c>
      <c r="D16" s="19">
        <v>1211983</v>
      </c>
      <c r="E16" s="31">
        <v>653042.22199999995</v>
      </c>
      <c r="F16" s="11">
        <f>E16/D16*100</f>
        <v>53.882127224556776</v>
      </c>
      <c r="G16" s="67" t="s">
        <v>162</v>
      </c>
    </row>
    <row r="17" spans="1:7">
      <c r="A17" s="8">
        <v>4</v>
      </c>
      <c r="B17" s="9" t="s">
        <v>25</v>
      </c>
      <c r="C17" s="32" t="s">
        <v>13</v>
      </c>
      <c r="D17" s="33">
        <v>197000</v>
      </c>
      <c r="E17" s="31">
        <f>E19</f>
        <v>141139.614</v>
      </c>
      <c r="F17" s="11">
        <f>E17/D17*100</f>
        <v>71.644474111675123</v>
      </c>
      <c r="G17" s="47"/>
    </row>
    <row r="18" spans="1:7">
      <c r="A18" s="13"/>
      <c r="B18" s="14" t="s">
        <v>9</v>
      </c>
      <c r="C18" s="26"/>
      <c r="D18" s="27"/>
      <c r="E18" s="16"/>
      <c r="F18" s="17"/>
      <c r="G18" s="47"/>
    </row>
    <row r="19" spans="1:7" ht="36">
      <c r="A19" s="34" t="s">
        <v>26</v>
      </c>
      <c r="B19" s="35" t="s">
        <v>27</v>
      </c>
      <c r="C19" s="22" t="s">
        <v>13</v>
      </c>
      <c r="D19" s="19">
        <v>197000</v>
      </c>
      <c r="E19" s="31">
        <v>141139.614</v>
      </c>
      <c r="F19" s="11">
        <f>E19/D19*100</f>
        <v>71.644474111675123</v>
      </c>
      <c r="G19" s="67" t="s">
        <v>162</v>
      </c>
    </row>
    <row r="20" spans="1:7" ht="31.5">
      <c r="A20" s="28">
        <v>5</v>
      </c>
      <c r="B20" s="29" t="s">
        <v>28</v>
      </c>
      <c r="C20" s="22" t="s">
        <v>13</v>
      </c>
      <c r="D20" s="19">
        <f>D22+D23+D24+D25+D26+D27+D28+D29+D30+D31+D32+D33+D34+D35+D36+D37+D38</f>
        <v>71004</v>
      </c>
      <c r="E20" s="31">
        <f>E22+E23+E24+E25+E26+E27+E28+E29+E30+E31+E32+E33+E34+E35+E36+E37+E38</f>
        <v>23147.373999999996</v>
      </c>
      <c r="F20" s="11">
        <f>E20/D20*100</f>
        <v>32.600098585995156</v>
      </c>
      <c r="G20" s="47"/>
    </row>
    <row r="21" spans="1:7">
      <c r="A21" s="13"/>
      <c r="B21" s="14" t="s">
        <v>9</v>
      </c>
      <c r="C21" s="26"/>
      <c r="D21" s="33"/>
      <c r="E21" s="16"/>
      <c r="F21" s="17"/>
      <c r="G21" s="47"/>
    </row>
    <row r="22" spans="1:7" s="68" customFormat="1" ht="36">
      <c r="A22" s="34" t="s">
        <v>29</v>
      </c>
      <c r="B22" s="36" t="s">
        <v>30</v>
      </c>
      <c r="C22" s="22" t="s">
        <v>13</v>
      </c>
      <c r="D22" s="23">
        <v>4000</v>
      </c>
      <c r="E22" s="46">
        <v>0</v>
      </c>
      <c r="F22" s="25">
        <f t="shared" ref="F22:F28" si="2">E22/D22*100</f>
        <v>0</v>
      </c>
      <c r="G22" s="67" t="s">
        <v>162</v>
      </c>
    </row>
    <row r="23" spans="1:7" s="68" customFormat="1" ht="36">
      <c r="A23" s="34" t="s">
        <v>31</v>
      </c>
      <c r="B23" s="36" t="s">
        <v>32</v>
      </c>
      <c r="C23" s="22" t="s">
        <v>13</v>
      </c>
      <c r="D23" s="23">
        <v>23375</v>
      </c>
      <c r="E23" s="24">
        <v>12368.102999999999</v>
      </c>
      <c r="F23" s="25">
        <f t="shared" si="2"/>
        <v>52.911670588235296</v>
      </c>
      <c r="G23" s="67" t="s">
        <v>162</v>
      </c>
    </row>
    <row r="24" spans="1:7" s="68" customFormat="1" ht="36">
      <c r="A24" s="37" t="s">
        <v>33</v>
      </c>
      <c r="B24" s="36" t="s">
        <v>34</v>
      </c>
      <c r="C24" s="22" t="s">
        <v>13</v>
      </c>
      <c r="D24" s="23">
        <v>3122</v>
      </c>
      <c r="E24" s="24">
        <v>1282.4970000000001</v>
      </c>
      <c r="F24" s="25">
        <f t="shared" si="2"/>
        <v>41.079340166559902</v>
      </c>
      <c r="G24" s="67" t="s">
        <v>162</v>
      </c>
    </row>
    <row r="25" spans="1:7" s="68" customFormat="1" ht="36">
      <c r="A25" s="37" t="s">
        <v>35</v>
      </c>
      <c r="B25" s="36" t="s">
        <v>36</v>
      </c>
      <c r="C25" s="22" t="s">
        <v>13</v>
      </c>
      <c r="D25" s="23">
        <v>134</v>
      </c>
      <c r="E25" s="80">
        <v>126.568</v>
      </c>
      <c r="F25" s="25">
        <f t="shared" si="2"/>
        <v>94.453731343283579</v>
      </c>
      <c r="G25" s="67" t="s">
        <v>162</v>
      </c>
    </row>
    <row r="26" spans="1:7" s="68" customFormat="1" ht="36">
      <c r="A26" s="34" t="s">
        <v>37</v>
      </c>
      <c r="B26" s="36" t="s">
        <v>38</v>
      </c>
      <c r="C26" s="22" t="s">
        <v>13</v>
      </c>
      <c r="D26" s="23">
        <v>14354</v>
      </c>
      <c r="E26" s="24">
        <v>3761.8910000000001</v>
      </c>
      <c r="F26" s="25">
        <f t="shared" si="2"/>
        <v>26.207962937160374</v>
      </c>
      <c r="G26" s="67" t="s">
        <v>162</v>
      </c>
    </row>
    <row r="27" spans="1:7" s="68" customFormat="1" ht="36">
      <c r="A27" s="37" t="s">
        <v>39</v>
      </c>
      <c r="B27" s="36" t="s">
        <v>40</v>
      </c>
      <c r="C27" s="22" t="s">
        <v>13</v>
      </c>
      <c r="D27" s="23">
        <v>5607</v>
      </c>
      <c r="E27" s="24">
        <f>1285.635+3.125</f>
        <v>1288.76</v>
      </c>
      <c r="F27" s="25">
        <f t="shared" si="2"/>
        <v>22.984840378098806</v>
      </c>
      <c r="G27" s="67" t="s">
        <v>162</v>
      </c>
    </row>
    <row r="28" spans="1:7" s="68" customFormat="1" ht="39" customHeight="1">
      <c r="A28" s="34" t="s">
        <v>41</v>
      </c>
      <c r="B28" s="36" t="s">
        <v>42</v>
      </c>
      <c r="C28" s="22" t="s">
        <v>13</v>
      </c>
      <c r="D28" s="23">
        <v>4552</v>
      </c>
      <c r="E28" s="24">
        <v>1534.97</v>
      </c>
      <c r="F28" s="25">
        <f t="shared" si="2"/>
        <v>33.720782073813709</v>
      </c>
      <c r="G28" s="67" t="s">
        <v>162</v>
      </c>
    </row>
    <row r="29" spans="1:7" s="68" customFormat="1" ht="36">
      <c r="A29" s="37" t="s">
        <v>43</v>
      </c>
      <c r="B29" s="36" t="s">
        <v>44</v>
      </c>
      <c r="C29" s="22" t="s">
        <v>13</v>
      </c>
      <c r="D29" s="23">
        <v>702</v>
      </c>
      <c r="E29" s="24">
        <v>294.11200000000002</v>
      </c>
      <c r="F29" s="25">
        <f t="shared" ref="F29:F34" si="3">E29/D29*100</f>
        <v>41.896296296296299</v>
      </c>
      <c r="G29" s="67" t="s">
        <v>162</v>
      </c>
    </row>
    <row r="30" spans="1:7" ht="36">
      <c r="A30" s="34" t="s">
        <v>45</v>
      </c>
      <c r="B30" s="36" t="s">
        <v>46</v>
      </c>
      <c r="C30" s="22" t="s">
        <v>13</v>
      </c>
      <c r="D30" s="23">
        <v>802</v>
      </c>
      <c r="E30" s="24">
        <v>0</v>
      </c>
      <c r="F30" s="25">
        <f t="shared" si="3"/>
        <v>0</v>
      </c>
      <c r="G30" s="67" t="s">
        <v>162</v>
      </c>
    </row>
    <row r="31" spans="1:7" ht="36">
      <c r="A31" s="37" t="s">
        <v>47</v>
      </c>
      <c r="B31" s="36" t="s">
        <v>48</v>
      </c>
      <c r="C31" s="22" t="s">
        <v>13</v>
      </c>
      <c r="D31" s="23">
        <v>2593</v>
      </c>
      <c r="E31" s="24">
        <v>140</v>
      </c>
      <c r="F31" s="25">
        <f t="shared" si="3"/>
        <v>5.3991515618974164</v>
      </c>
      <c r="G31" s="67" t="s">
        <v>162</v>
      </c>
    </row>
    <row r="32" spans="1:7" ht="31.5">
      <c r="A32" s="34" t="s">
        <v>49</v>
      </c>
      <c r="B32" s="36" t="s">
        <v>50</v>
      </c>
      <c r="C32" s="32" t="s">
        <v>13</v>
      </c>
      <c r="D32" s="23">
        <v>1200</v>
      </c>
      <c r="E32" s="24">
        <v>249</v>
      </c>
      <c r="F32" s="25">
        <f>E32/D32*100</f>
        <v>20.75</v>
      </c>
      <c r="G32" s="67" t="s">
        <v>161</v>
      </c>
    </row>
    <row r="33" spans="1:7" ht="36">
      <c r="A33" s="37" t="s">
        <v>51</v>
      </c>
      <c r="B33" s="36" t="s">
        <v>52</v>
      </c>
      <c r="C33" s="32" t="s">
        <v>13</v>
      </c>
      <c r="D33" s="23">
        <v>45</v>
      </c>
      <c r="E33" s="24">
        <v>0</v>
      </c>
      <c r="F33" s="25">
        <f t="shared" si="3"/>
        <v>0</v>
      </c>
      <c r="G33" s="67" t="s">
        <v>162</v>
      </c>
    </row>
    <row r="34" spans="1:7" ht="47.25">
      <c r="A34" s="34" t="s">
        <v>53</v>
      </c>
      <c r="B34" s="36" t="s">
        <v>54</v>
      </c>
      <c r="C34" s="22" t="s">
        <v>13</v>
      </c>
      <c r="D34" s="23">
        <v>2664</v>
      </c>
      <c r="E34" s="24">
        <v>983.62</v>
      </c>
      <c r="F34" s="25">
        <f t="shared" si="3"/>
        <v>36.922672672672675</v>
      </c>
      <c r="G34" s="67" t="s">
        <v>162</v>
      </c>
    </row>
    <row r="35" spans="1:7" ht="36">
      <c r="A35" s="37" t="s">
        <v>55</v>
      </c>
      <c r="B35" s="36" t="s">
        <v>56</v>
      </c>
      <c r="C35" s="32" t="s">
        <v>13</v>
      </c>
      <c r="D35" s="23">
        <v>4102</v>
      </c>
      <c r="E35" s="24">
        <v>359</v>
      </c>
      <c r="F35" s="25">
        <f>E35/D35*100</f>
        <v>8.7518283764017539</v>
      </c>
      <c r="G35" s="67" t="s">
        <v>162</v>
      </c>
    </row>
    <row r="36" spans="1:7" ht="36">
      <c r="A36" s="34" t="s">
        <v>57</v>
      </c>
      <c r="B36" s="42" t="s">
        <v>58</v>
      </c>
      <c r="C36" s="43" t="s">
        <v>13</v>
      </c>
      <c r="D36" s="23">
        <v>2438</v>
      </c>
      <c r="E36" s="24">
        <v>447.60199999999998</v>
      </c>
      <c r="F36" s="25">
        <f>E36/D36*100</f>
        <v>18.359392945036916</v>
      </c>
      <c r="G36" s="67" t="s">
        <v>162</v>
      </c>
    </row>
    <row r="37" spans="1:7" ht="36">
      <c r="A37" s="38" t="s">
        <v>59</v>
      </c>
      <c r="B37" s="35" t="s">
        <v>60</v>
      </c>
      <c r="C37" s="32" t="s">
        <v>13</v>
      </c>
      <c r="D37" s="23">
        <v>627</v>
      </c>
      <c r="E37" s="24">
        <v>311.25099999999998</v>
      </c>
      <c r="F37" s="25">
        <f>E37/D37*100</f>
        <v>49.641307814992018</v>
      </c>
      <c r="G37" s="67" t="s">
        <v>162</v>
      </c>
    </row>
    <row r="38" spans="1:7" ht="47.25">
      <c r="A38" s="34" t="s">
        <v>61</v>
      </c>
      <c r="B38" s="36" t="s">
        <v>62</v>
      </c>
      <c r="C38" s="22" t="s">
        <v>13</v>
      </c>
      <c r="D38" s="23">
        <v>687</v>
      </c>
      <c r="E38" s="24">
        <v>0</v>
      </c>
      <c r="F38" s="25">
        <f>E38/D38*100</f>
        <v>0</v>
      </c>
      <c r="G38" s="67" t="s">
        <v>162</v>
      </c>
    </row>
    <row r="39" spans="1:7">
      <c r="A39" s="8">
        <v>6</v>
      </c>
      <c r="B39" s="9" t="s">
        <v>63</v>
      </c>
      <c r="C39" s="32" t="s">
        <v>13</v>
      </c>
      <c r="D39" s="33">
        <f>D41+D50+D51+D52+D53+D54</f>
        <v>41768</v>
      </c>
      <c r="E39" s="44">
        <f>E41+E50+E51+E52+E53+E54</f>
        <v>18150.137999999999</v>
      </c>
      <c r="F39" s="11">
        <f>E39/D39*100</f>
        <v>43.454649492434399</v>
      </c>
      <c r="G39" s="47"/>
    </row>
    <row r="40" spans="1:7">
      <c r="A40" s="13"/>
      <c r="B40" s="14" t="s">
        <v>9</v>
      </c>
      <c r="C40" s="26"/>
      <c r="D40" s="45"/>
      <c r="E40" s="16"/>
      <c r="F40" s="17"/>
      <c r="G40" s="47"/>
    </row>
    <row r="41" spans="1:7" s="68" customFormat="1" ht="36">
      <c r="A41" s="34" t="s">
        <v>64</v>
      </c>
      <c r="B41" s="36" t="s">
        <v>65</v>
      </c>
      <c r="C41" s="22" t="s">
        <v>13</v>
      </c>
      <c r="D41" s="23">
        <v>12550</v>
      </c>
      <c r="E41" s="24">
        <f>E42+E43+E44+E45+E46+E47+E48+E49</f>
        <v>4807.9129999999996</v>
      </c>
      <c r="F41" s="25">
        <f t="shared" ref="F41:F91" si="4">E41/D41*100</f>
        <v>38.310063745019917</v>
      </c>
      <c r="G41" s="67" t="s">
        <v>162</v>
      </c>
    </row>
    <row r="42" spans="1:7" s="68" customFormat="1" ht="36" hidden="1">
      <c r="A42" s="34"/>
      <c r="B42" s="39" t="s">
        <v>66</v>
      </c>
      <c r="C42" s="22"/>
      <c r="D42" s="40">
        <v>9284.3100000000013</v>
      </c>
      <c r="E42" s="40">
        <f>4226.056</f>
        <v>4226.0559999999996</v>
      </c>
      <c r="F42" s="25">
        <f t="shared" si="4"/>
        <v>45.518256068571588</v>
      </c>
      <c r="G42" s="67" t="s">
        <v>159</v>
      </c>
    </row>
    <row r="43" spans="1:7" s="68" customFormat="1" ht="36" hidden="1">
      <c r="A43" s="34"/>
      <c r="B43" s="39" t="s">
        <v>67</v>
      </c>
      <c r="C43" s="22"/>
      <c r="D43" s="40">
        <v>529.20000000000005</v>
      </c>
      <c r="E43" s="40"/>
      <c r="F43" s="25">
        <f t="shared" si="4"/>
        <v>0</v>
      </c>
      <c r="G43" s="67" t="s">
        <v>159</v>
      </c>
    </row>
    <row r="44" spans="1:7" s="68" customFormat="1" ht="36" hidden="1">
      <c r="A44" s="34"/>
      <c r="B44" s="39" t="s">
        <v>68</v>
      </c>
      <c r="C44" s="22"/>
      <c r="D44" s="40">
        <v>180.6</v>
      </c>
      <c r="E44" s="40"/>
      <c r="F44" s="25">
        <f t="shared" si="4"/>
        <v>0</v>
      </c>
      <c r="G44" s="67" t="s">
        <v>159</v>
      </c>
    </row>
    <row r="45" spans="1:7" s="68" customFormat="1" ht="36" hidden="1">
      <c r="A45" s="34"/>
      <c r="B45" s="39" t="s">
        <v>69</v>
      </c>
      <c r="C45" s="22"/>
      <c r="D45" s="40">
        <v>841.05000000000007</v>
      </c>
      <c r="E45" s="46">
        <f>4.14</f>
        <v>4.1399999999999997</v>
      </c>
      <c r="F45" s="25">
        <f t="shared" si="4"/>
        <v>0.49224184055644721</v>
      </c>
      <c r="G45" s="67" t="s">
        <v>159</v>
      </c>
    </row>
    <row r="46" spans="1:7" s="68" customFormat="1" ht="36" hidden="1">
      <c r="A46" s="34"/>
      <c r="B46" s="39" t="s">
        <v>70</v>
      </c>
      <c r="C46" s="22"/>
      <c r="D46" s="40">
        <v>1660.0500000000002</v>
      </c>
      <c r="E46" s="46">
        <v>568.47699999999998</v>
      </c>
      <c r="F46" s="25">
        <f t="shared" si="4"/>
        <v>34.244570946658229</v>
      </c>
      <c r="G46" s="67" t="s">
        <v>159</v>
      </c>
    </row>
    <row r="47" spans="1:7" s="68" customFormat="1" ht="36" hidden="1">
      <c r="A47" s="34"/>
      <c r="B47" s="39" t="s">
        <v>71</v>
      </c>
      <c r="C47" s="22"/>
      <c r="D47" s="40"/>
      <c r="E47" s="46"/>
      <c r="F47" s="25" t="e">
        <f t="shared" si="4"/>
        <v>#DIV/0!</v>
      </c>
      <c r="G47" s="67" t="s">
        <v>159</v>
      </c>
    </row>
    <row r="48" spans="1:7" s="68" customFormat="1" ht="36" hidden="1">
      <c r="A48" s="34"/>
      <c r="B48" s="39" t="s">
        <v>72</v>
      </c>
      <c r="C48" s="22"/>
      <c r="D48" s="40">
        <v>54.6</v>
      </c>
      <c r="E48" s="46">
        <v>9.24</v>
      </c>
      <c r="F48" s="25">
        <f t="shared" si="4"/>
        <v>16.923076923076923</v>
      </c>
      <c r="G48" s="67" t="s">
        <v>159</v>
      </c>
    </row>
    <row r="49" spans="1:7" s="68" customFormat="1" ht="36" hidden="1">
      <c r="A49" s="34"/>
      <c r="B49" s="39" t="s">
        <v>73</v>
      </c>
      <c r="C49" s="22"/>
      <c r="D49" s="40"/>
      <c r="E49" s="79"/>
      <c r="F49" s="25" t="e">
        <f t="shared" si="4"/>
        <v>#DIV/0!</v>
      </c>
      <c r="G49" s="67" t="s">
        <v>159</v>
      </c>
    </row>
    <row r="50" spans="1:7" s="68" customFormat="1" ht="36">
      <c r="A50" s="34" t="s">
        <v>74</v>
      </c>
      <c r="B50" s="35" t="s">
        <v>75</v>
      </c>
      <c r="C50" s="22" t="s">
        <v>13</v>
      </c>
      <c r="D50" s="23">
        <v>20080</v>
      </c>
      <c r="E50" s="24">
        <v>8430.5939999999991</v>
      </c>
      <c r="F50" s="25">
        <f t="shared" si="4"/>
        <v>41.985029880478081</v>
      </c>
      <c r="G50" s="67" t="s">
        <v>162</v>
      </c>
    </row>
    <row r="51" spans="1:7" s="68" customFormat="1" ht="36">
      <c r="A51" s="34" t="s">
        <v>76</v>
      </c>
      <c r="B51" s="35" t="s">
        <v>77</v>
      </c>
      <c r="C51" s="22" t="s">
        <v>13</v>
      </c>
      <c r="D51" s="23">
        <v>3623</v>
      </c>
      <c r="E51" s="24">
        <v>774.62</v>
      </c>
      <c r="F51" s="25">
        <f t="shared" si="4"/>
        <v>21.380623792437206</v>
      </c>
      <c r="G51" s="67" t="s">
        <v>162</v>
      </c>
    </row>
    <row r="52" spans="1:7" s="68" customFormat="1" ht="36">
      <c r="A52" s="34" t="s">
        <v>78</v>
      </c>
      <c r="B52" s="35" t="s">
        <v>79</v>
      </c>
      <c r="C52" s="22" t="s">
        <v>13</v>
      </c>
      <c r="D52" s="23">
        <v>2044</v>
      </c>
      <c r="E52" s="24">
        <f>455+76.616+617.168</f>
        <v>1148.7840000000001</v>
      </c>
      <c r="F52" s="25">
        <f t="shared" si="4"/>
        <v>56.202739726027403</v>
      </c>
      <c r="G52" s="67" t="s">
        <v>162</v>
      </c>
    </row>
    <row r="53" spans="1:7" s="68" customFormat="1" ht="36">
      <c r="A53" s="34" t="s">
        <v>80</v>
      </c>
      <c r="B53" s="36" t="s">
        <v>81</v>
      </c>
      <c r="C53" s="22" t="s">
        <v>13</v>
      </c>
      <c r="D53" s="23">
        <v>1356</v>
      </c>
      <c r="E53" s="24">
        <v>1085.6869999999999</v>
      </c>
      <c r="F53" s="25">
        <f t="shared" si="4"/>
        <v>80.065412979351024</v>
      </c>
      <c r="G53" s="67" t="s">
        <v>162</v>
      </c>
    </row>
    <row r="54" spans="1:7" s="68" customFormat="1" ht="36">
      <c r="A54" s="34" t="s">
        <v>82</v>
      </c>
      <c r="B54" s="35" t="s">
        <v>83</v>
      </c>
      <c r="C54" s="22" t="s">
        <v>13</v>
      </c>
      <c r="D54" s="23">
        <v>2115</v>
      </c>
      <c r="E54" s="24">
        <v>1902.54</v>
      </c>
      <c r="F54" s="25">
        <f t="shared" si="4"/>
        <v>89.954609929078018</v>
      </c>
      <c r="G54" s="67" t="s">
        <v>162</v>
      </c>
    </row>
    <row r="55" spans="1:7" s="68" customFormat="1">
      <c r="A55" s="28" t="s">
        <v>84</v>
      </c>
      <c r="B55" s="29" t="s">
        <v>85</v>
      </c>
      <c r="C55" s="22" t="s">
        <v>13</v>
      </c>
      <c r="D55" s="19">
        <f t="shared" ref="D55:E55" si="5">D56</f>
        <v>798673</v>
      </c>
      <c r="E55" s="31">
        <f t="shared" si="5"/>
        <v>464071.38219999999</v>
      </c>
      <c r="F55" s="11">
        <f t="shared" si="4"/>
        <v>58.105304949585125</v>
      </c>
      <c r="G55" s="69"/>
    </row>
    <row r="56" spans="1:7" s="68" customFormat="1" ht="31.5">
      <c r="A56" s="34">
        <v>7</v>
      </c>
      <c r="B56" s="29" t="s">
        <v>86</v>
      </c>
      <c r="C56" s="22" t="s">
        <v>13</v>
      </c>
      <c r="D56" s="11">
        <f t="shared" ref="D56" si="6">D58+D62+D63+D64+D65+D66+D67+D68+D69+D70</f>
        <v>798673</v>
      </c>
      <c r="E56" s="12">
        <f>E58+E62+E63+E64+E65+E66+E67+E68+E69+E70</f>
        <v>464071.38219999999</v>
      </c>
      <c r="F56" s="11">
        <f t="shared" si="4"/>
        <v>58.105304949585125</v>
      </c>
      <c r="G56" s="69"/>
    </row>
    <row r="57" spans="1:7" s="68" customFormat="1">
      <c r="A57" s="70"/>
      <c r="B57" s="71" t="s">
        <v>9</v>
      </c>
      <c r="C57" s="15"/>
      <c r="D57" s="23"/>
      <c r="E57" s="72"/>
      <c r="F57" s="69"/>
      <c r="G57" s="69"/>
    </row>
    <row r="58" spans="1:7" s="68" customFormat="1">
      <c r="A58" s="34" t="s">
        <v>87</v>
      </c>
      <c r="B58" s="35" t="s">
        <v>19</v>
      </c>
      <c r="C58" s="22" t="s">
        <v>13</v>
      </c>
      <c r="D58" s="23">
        <f>D60+D61</f>
        <v>140163</v>
      </c>
      <c r="E58" s="24">
        <f>E60+E61</f>
        <v>76939.671199999997</v>
      </c>
      <c r="F58" s="25">
        <f t="shared" si="4"/>
        <v>54.892996867932332</v>
      </c>
      <c r="G58" s="69"/>
    </row>
    <row r="59" spans="1:7" s="68" customFormat="1">
      <c r="A59" s="70"/>
      <c r="B59" s="71" t="s">
        <v>9</v>
      </c>
      <c r="C59" s="15"/>
      <c r="D59" s="23"/>
      <c r="E59" s="73"/>
      <c r="F59" s="74"/>
      <c r="G59" s="69"/>
    </row>
    <row r="60" spans="1:7" s="68" customFormat="1" ht="36">
      <c r="A60" s="34" t="s">
        <v>88</v>
      </c>
      <c r="B60" s="35" t="s">
        <v>89</v>
      </c>
      <c r="C60" s="22" t="s">
        <v>13</v>
      </c>
      <c r="D60" s="23">
        <v>127537</v>
      </c>
      <c r="E60" s="24">
        <v>70008.800000000003</v>
      </c>
      <c r="F60" s="25">
        <f t="shared" si="4"/>
        <v>54.892933031198787</v>
      </c>
      <c r="G60" s="67" t="s">
        <v>162</v>
      </c>
    </row>
    <row r="61" spans="1:7" s="68" customFormat="1" ht="36">
      <c r="A61" s="34" t="s">
        <v>90</v>
      </c>
      <c r="B61" s="35" t="s">
        <v>23</v>
      </c>
      <c r="C61" s="22" t="s">
        <v>13</v>
      </c>
      <c r="D61" s="23">
        <v>12626</v>
      </c>
      <c r="E61" s="24">
        <f>E60*0.099</f>
        <v>6930.8712000000005</v>
      </c>
      <c r="F61" s="25">
        <f t="shared" si="4"/>
        <v>54.893641691747199</v>
      </c>
      <c r="G61" s="67" t="s">
        <v>162</v>
      </c>
    </row>
    <row r="62" spans="1:7" s="68" customFormat="1" ht="36">
      <c r="A62" s="52" t="s">
        <v>91</v>
      </c>
      <c r="B62" s="75" t="s">
        <v>24</v>
      </c>
      <c r="C62" s="76" t="s">
        <v>13</v>
      </c>
      <c r="D62" s="24">
        <v>22155</v>
      </c>
      <c r="E62" s="51">
        <v>11258.014999999999</v>
      </c>
      <c r="F62" s="25">
        <f t="shared" si="4"/>
        <v>50.814782216204016</v>
      </c>
      <c r="G62" s="67" t="s">
        <v>162</v>
      </c>
    </row>
    <row r="63" spans="1:7" s="68" customFormat="1" ht="36">
      <c r="A63" s="52" t="s">
        <v>92</v>
      </c>
      <c r="B63" s="53" t="s">
        <v>93</v>
      </c>
      <c r="C63" s="76" t="s">
        <v>13</v>
      </c>
      <c r="D63" s="24">
        <v>580000</v>
      </c>
      <c r="E63" s="51">
        <f>653.116+35.566+348317.765+731.707+97.851+198.435+1949.566</f>
        <v>351984.00599999999</v>
      </c>
      <c r="F63" s="25">
        <f t="shared" si="4"/>
        <v>60.686897586206904</v>
      </c>
      <c r="G63" s="67" t="s">
        <v>162</v>
      </c>
    </row>
    <row r="64" spans="1:7" s="68" customFormat="1" ht="36">
      <c r="A64" s="34" t="s">
        <v>94</v>
      </c>
      <c r="B64" s="36" t="s">
        <v>95</v>
      </c>
      <c r="C64" s="22" t="s">
        <v>13</v>
      </c>
      <c r="D64" s="23">
        <v>1430</v>
      </c>
      <c r="E64" s="51">
        <f>171.658+237.007</f>
        <v>408.66499999999996</v>
      </c>
      <c r="F64" s="25">
        <f t="shared" si="4"/>
        <v>28.577972027972027</v>
      </c>
      <c r="G64" s="67" t="s">
        <v>162</v>
      </c>
    </row>
    <row r="65" spans="1:8" s="68" customFormat="1" ht="36">
      <c r="A65" s="34" t="s">
        <v>96</v>
      </c>
      <c r="B65" s="36" t="s">
        <v>97</v>
      </c>
      <c r="C65" s="22" t="s">
        <v>13</v>
      </c>
      <c r="D65" s="23">
        <v>5525</v>
      </c>
      <c r="E65" s="51">
        <f>194.479+64.98+862.834+310.726+405.486</f>
        <v>1838.5049999999997</v>
      </c>
      <c r="F65" s="25">
        <f t="shared" si="4"/>
        <v>33.276108597285059</v>
      </c>
      <c r="G65" s="67" t="s">
        <v>162</v>
      </c>
      <c r="H65" s="77"/>
    </row>
    <row r="66" spans="1:8" s="68" customFormat="1" ht="36">
      <c r="A66" s="34" t="s">
        <v>98</v>
      </c>
      <c r="B66" s="35" t="s">
        <v>79</v>
      </c>
      <c r="C66" s="22" t="s">
        <v>13</v>
      </c>
      <c r="D66" s="23">
        <v>1251</v>
      </c>
      <c r="E66" s="51">
        <f>55+52.237+201.941</f>
        <v>309.178</v>
      </c>
      <c r="F66" s="25">
        <f t="shared" si="4"/>
        <v>24.714468425259792</v>
      </c>
      <c r="G66" s="67" t="s">
        <v>162</v>
      </c>
    </row>
    <row r="67" spans="1:8" s="68" customFormat="1" ht="36">
      <c r="A67" s="34" t="s">
        <v>99</v>
      </c>
      <c r="B67" s="35" t="s">
        <v>40</v>
      </c>
      <c r="C67" s="22" t="s">
        <v>13</v>
      </c>
      <c r="D67" s="23">
        <v>2183</v>
      </c>
      <c r="E67" s="51">
        <v>1034.4480000000001</v>
      </c>
      <c r="F67" s="25">
        <f t="shared" si="4"/>
        <v>47.38653229500688</v>
      </c>
      <c r="G67" s="67" t="s">
        <v>162</v>
      </c>
    </row>
    <row r="68" spans="1:8" s="68" customFormat="1" ht="36">
      <c r="A68" s="54" t="s">
        <v>100</v>
      </c>
      <c r="B68" s="55" t="s">
        <v>101</v>
      </c>
      <c r="C68" s="22" t="s">
        <v>13</v>
      </c>
      <c r="D68" s="23">
        <v>6395</v>
      </c>
      <c r="E68" s="51">
        <f>1517.1+285.892+103.9</f>
        <v>1906.8920000000001</v>
      </c>
      <c r="F68" s="25">
        <f t="shared" si="4"/>
        <v>29.818483189992186</v>
      </c>
      <c r="G68" s="67" t="s">
        <v>162</v>
      </c>
    </row>
    <row r="69" spans="1:8" s="68" customFormat="1" ht="36">
      <c r="A69" s="34" t="s">
        <v>102</v>
      </c>
      <c r="B69" s="35" t="s">
        <v>103</v>
      </c>
      <c r="C69" s="22" t="s">
        <v>13</v>
      </c>
      <c r="D69" s="23">
        <v>2573</v>
      </c>
      <c r="E69" s="51">
        <f>1743.292</f>
        <v>1743.2919999999999</v>
      </c>
      <c r="F69" s="25">
        <f t="shared" si="4"/>
        <v>67.753284104158567</v>
      </c>
      <c r="G69" s="67" t="s">
        <v>162</v>
      </c>
    </row>
    <row r="70" spans="1:8" s="68" customFormat="1" ht="36">
      <c r="A70" s="34" t="s">
        <v>104</v>
      </c>
      <c r="B70" s="35" t="s">
        <v>105</v>
      </c>
      <c r="C70" s="22" t="s">
        <v>13</v>
      </c>
      <c r="D70" s="23">
        <f t="shared" ref="D70:E70" si="7">D72+D73+D74+D75+D76+D77+D78+D79+D80+D81+D82+D83</f>
        <v>36998</v>
      </c>
      <c r="E70" s="24">
        <f t="shared" si="7"/>
        <v>16648.709999999995</v>
      </c>
      <c r="F70" s="25">
        <f t="shared" si="4"/>
        <v>44.998945888966958</v>
      </c>
      <c r="G70" s="67" t="s">
        <v>162</v>
      </c>
    </row>
    <row r="71" spans="1:8" s="68" customFormat="1">
      <c r="A71" s="70"/>
      <c r="B71" s="71" t="s">
        <v>9</v>
      </c>
      <c r="C71" s="22" t="s">
        <v>13</v>
      </c>
      <c r="D71" s="23"/>
      <c r="E71" s="51"/>
      <c r="F71" s="78"/>
      <c r="G71" s="67"/>
    </row>
    <row r="72" spans="1:8" s="68" customFormat="1" ht="36">
      <c r="A72" s="34" t="s">
        <v>106</v>
      </c>
      <c r="B72" s="36" t="s">
        <v>107</v>
      </c>
      <c r="C72" s="22" t="s">
        <v>13</v>
      </c>
      <c r="D72" s="23">
        <v>17810</v>
      </c>
      <c r="E72" s="51">
        <v>7423</v>
      </c>
      <c r="F72" s="25">
        <f t="shared" si="4"/>
        <v>41.678832116788321</v>
      </c>
      <c r="G72" s="67" t="s">
        <v>162</v>
      </c>
    </row>
    <row r="73" spans="1:8" s="68" customFormat="1" ht="36">
      <c r="A73" s="34" t="s">
        <v>108</v>
      </c>
      <c r="B73" s="36" t="s">
        <v>109</v>
      </c>
      <c r="C73" s="22" t="s">
        <v>13</v>
      </c>
      <c r="D73" s="23">
        <v>2876</v>
      </c>
      <c r="E73" s="51">
        <f>414.14+975.545</f>
        <v>1389.6849999999999</v>
      </c>
      <c r="F73" s="25">
        <f t="shared" si="4"/>
        <v>48.320062586926284</v>
      </c>
      <c r="G73" s="67" t="s">
        <v>162</v>
      </c>
    </row>
    <row r="74" spans="1:8" s="68" customFormat="1" ht="36">
      <c r="A74" s="34" t="s">
        <v>110</v>
      </c>
      <c r="B74" s="36" t="s">
        <v>111</v>
      </c>
      <c r="C74" s="22" t="s">
        <v>13</v>
      </c>
      <c r="D74" s="23">
        <v>5622</v>
      </c>
      <c r="E74" s="51">
        <v>2651.7849999999999</v>
      </c>
      <c r="F74" s="25">
        <f t="shared" si="4"/>
        <v>47.168000711490571</v>
      </c>
      <c r="G74" s="67" t="s">
        <v>162</v>
      </c>
    </row>
    <row r="75" spans="1:8" s="68" customFormat="1" ht="36">
      <c r="A75" s="34" t="s">
        <v>112</v>
      </c>
      <c r="B75" s="36" t="s">
        <v>81</v>
      </c>
      <c r="C75" s="22" t="s">
        <v>13</v>
      </c>
      <c r="D75" s="23">
        <v>636</v>
      </c>
      <c r="E75" s="51">
        <v>621.14499999999998</v>
      </c>
      <c r="F75" s="25">
        <f t="shared" si="4"/>
        <v>97.664308176100619</v>
      </c>
      <c r="G75" s="67" t="s">
        <v>162</v>
      </c>
    </row>
    <row r="76" spans="1:8" s="68" customFormat="1" ht="36">
      <c r="A76" s="34" t="s">
        <v>113</v>
      </c>
      <c r="B76" s="36" t="s">
        <v>114</v>
      </c>
      <c r="C76" s="22" t="s">
        <v>13</v>
      </c>
      <c r="D76" s="23">
        <v>313</v>
      </c>
      <c r="E76" s="51">
        <v>154.47200000000001</v>
      </c>
      <c r="F76" s="25">
        <f t="shared" si="4"/>
        <v>49.352076677316298</v>
      </c>
      <c r="G76" s="67" t="s">
        <v>162</v>
      </c>
    </row>
    <row r="77" spans="1:8" s="68" customFormat="1" ht="36">
      <c r="A77" s="34" t="s">
        <v>115</v>
      </c>
      <c r="B77" s="36" t="s">
        <v>77</v>
      </c>
      <c r="C77" s="22" t="s">
        <v>13</v>
      </c>
      <c r="D77" s="23">
        <v>930</v>
      </c>
      <c r="E77" s="51">
        <v>292.38</v>
      </c>
      <c r="F77" s="25">
        <f t="shared" si="4"/>
        <v>31.438709677419354</v>
      </c>
      <c r="G77" s="67" t="s">
        <v>162</v>
      </c>
    </row>
    <row r="78" spans="1:8" s="68" customFormat="1" ht="36">
      <c r="A78" s="34" t="s">
        <v>116</v>
      </c>
      <c r="B78" s="36" t="s">
        <v>117</v>
      </c>
      <c r="C78" s="22" t="s">
        <v>13</v>
      </c>
      <c r="D78" s="23">
        <v>231</v>
      </c>
      <c r="E78" s="51">
        <v>214.3</v>
      </c>
      <c r="F78" s="25">
        <f t="shared" si="4"/>
        <v>92.770562770562776</v>
      </c>
      <c r="G78" s="67" t="s">
        <v>162</v>
      </c>
    </row>
    <row r="79" spans="1:8" s="68" customFormat="1" ht="36">
      <c r="A79" s="34" t="s">
        <v>118</v>
      </c>
      <c r="B79" s="35" t="s">
        <v>75</v>
      </c>
      <c r="C79" s="22" t="s">
        <v>13</v>
      </c>
      <c r="D79" s="23">
        <v>1874</v>
      </c>
      <c r="E79" s="51">
        <v>749.43700000000001</v>
      </c>
      <c r="F79" s="25">
        <f t="shared" si="4"/>
        <v>39.991302027748134</v>
      </c>
      <c r="G79" s="67" t="s">
        <v>162</v>
      </c>
    </row>
    <row r="80" spans="1:8" s="68" customFormat="1" ht="36">
      <c r="A80" s="34" t="s">
        <v>119</v>
      </c>
      <c r="B80" s="36" t="s">
        <v>120</v>
      </c>
      <c r="C80" s="22" t="s">
        <v>13</v>
      </c>
      <c r="D80" s="23">
        <v>394</v>
      </c>
      <c r="E80" s="51">
        <v>212.47499999999999</v>
      </c>
      <c r="F80" s="25">
        <f t="shared" si="4"/>
        <v>53.927664974619283</v>
      </c>
      <c r="G80" s="67" t="s">
        <v>162</v>
      </c>
    </row>
    <row r="81" spans="1:7" s="68" customFormat="1" ht="36">
      <c r="A81" s="34" t="s">
        <v>121</v>
      </c>
      <c r="B81" s="36" t="s">
        <v>122</v>
      </c>
      <c r="C81" s="22" t="s">
        <v>13</v>
      </c>
      <c r="D81" s="23">
        <v>5489</v>
      </c>
      <c r="E81" s="51">
        <f>1767.186+769.151</f>
        <v>2536.337</v>
      </c>
      <c r="F81" s="25">
        <f t="shared" si="4"/>
        <v>46.207633448715612</v>
      </c>
      <c r="G81" s="67" t="s">
        <v>162</v>
      </c>
    </row>
    <row r="82" spans="1:7" s="68" customFormat="1" ht="36">
      <c r="A82" s="34" t="s">
        <v>123</v>
      </c>
      <c r="B82" s="36" t="s">
        <v>124</v>
      </c>
      <c r="C82" s="22" t="s">
        <v>13</v>
      </c>
      <c r="D82" s="23">
        <v>744</v>
      </c>
      <c r="E82" s="51">
        <v>316.39400000000001</v>
      </c>
      <c r="F82" s="25">
        <f t="shared" si="4"/>
        <v>42.526075268817202</v>
      </c>
      <c r="G82" s="67" t="s">
        <v>162</v>
      </c>
    </row>
    <row r="83" spans="1:7">
      <c r="A83" s="20" t="s">
        <v>125</v>
      </c>
      <c r="B83" s="41" t="s">
        <v>126</v>
      </c>
      <c r="C83" s="32" t="s">
        <v>13</v>
      </c>
      <c r="D83" s="23">
        <v>79</v>
      </c>
      <c r="E83" s="51">
        <f>52.11+35.19</f>
        <v>87.3</v>
      </c>
      <c r="F83" s="25">
        <f t="shared" si="4"/>
        <v>110.50632911392404</v>
      </c>
      <c r="G83" s="47"/>
    </row>
    <row r="84" spans="1:7">
      <c r="A84" s="8" t="s">
        <v>127</v>
      </c>
      <c r="B84" s="9" t="s">
        <v>128</v>
      </c>
      <c r="C84" s="32" t="s">
        <v>13</v>
      </c>
      <c r="D84" s="56">
        <f>D5+D55+D90</f>
        <v>5898924.0659999996</v>
      </c>
      <c r="E84" s="57">
        <f>E5+E55+E90</f>
        <v>3025293.4531999999</v>
      </c>
      <c r="F84" s="11">
        <f t="shared" si="4"/>
        <v>51.28551273675609</v>
      </c>
      <c r="G84" s="47"/>
    </row>
    <row r="85" spans="1:7">
      <c r="A85" s="48" t="s">
        <v>129</v>
      </c>
      <c r="B85" s="49" t="s">
        <v>130</v>
      </c>
      <c r="C85" s="50" t="s">
        <v>13</v>
      </c>
      <c r="D85" s="58">
        <v>10000</v>
      </c>
      <c r="E85" s="59">
        <f>E86-E84</f>
        <v>247294.63379999995</v>
      </c>
      <c r="F85" s="11">
        <f t="shared" si="4"/>
        <v>2472.9463379999993</v>
      </c>
      <c r="G85" s="47"/>
    </row>
    <row r="86" spans="1:7" ht="36">
      <c r="A86" s="8" t="s">
        <v>131</v>
      </c>
      <c r="B86" s="29" t="s">
        <v>132</v>
      </c>
      <c r="C86" s="32" t="s">
        <v>13</v>
      </c>
      <c r="D86" s="11">
        <f>D84+D85</f>
        <v>5908924.0659999996</v>
      </c>
      <c r="E86" s="12">
        <v>3272588.0869999998</v>
      </c>
      <c r="F86" s="11">
        <f t="shared" si="4"/>
        <v>55.383823695256126</v>
      </c>
      <c r="G86" s="67" t="s">
        <v>162</v>
      </c>
    </row>
    <row r="87" spans="1:7" ht="36">
      <c r="A87" s="8" t="s">
        <v>133</v>
      </c>
      <c r="B87" s="29" t="s">
        <v>134</v>
      </c>
      <c r="C87" s="61" t="s">
        <v>135</v>
      </c>
      <c r="D87" s="11">
        <v>5222720</v>
      </c>
      <c r="E87" s="12">
        <f>3272588087/1070</f>
        <v>3058493.5392523366</v>
      </c>
      <c r="F87" s="11">
        <f t="shared" si="4"/>
        <v>58.561315545392759</v>
      </c>
      <c r="G87" s="67" t="s">
        <v>162</v>
      </c>
    </row>
    <row r="88" spans="1:7" ht="36">
      <c r="A88" s="84" t="s">
        <v>136</v>
      </c>
      <c r="B88" s="87" t="s">
        <v>137</v>
      </c>
      <c r="C88" s="61" t="s">
        <v>138</v>
      </c>
      <c r="D88" s="10">
        <v>13.76</v>
      </c>
      <c r="E88" s="94">
        <v>12.5</v>
      </c>
      <c r="F88" s="17"/>
      <c r="G88" s="67" t="s">
        <v>162</v>
      </c>
    </row>
    <row r="89" spans="1:7" ht="36">
      <c r="A89" s="85"/>
      <c r="B89" s="88"/>
      <c r="C89" s="10" t="s">
        <v>135</v>
      </c>
      <c r="D89" s="11">
        <v>838200</v>
      </c>
      <c r="E89" s="12">
        <f>(610793.891+41985.209)/1484*1000</f>
        <v>439878.09973045817</v>
      </c>
      <c r="F89" s="11">
        <f t="shared" si="4"/>
        <v>52.478895219572678</v>
      </c>
      <c r="G89" s="67" t="s">
        <v>162</v>
      </c>
    </row>
    <row r="90" spans="1:7" ht="36">
      <c r="A90" s="86"/>
      <c r="B90" s="89"/>
      <c r="C90" s="61" t="s">
        <v>8</v>
      </c>
      <c r="D90" s="11">
        <f>D89*1745.63/1000</f>
        <v>1463187.0660000001</v>
      </c>
      <c r="E90" s="12">
        <f>610793.891+41985.209</f>
        <v>652779.1</v>
      </c>
      <c r="F90" s="11">
        <f t="shared" si="4"/>
        <v>44.613509452659414</v>
      </c>
      <c r="G90" s="67" t="s">
        <v>162</v>
      </c>
    </row>
    <row r="91" spans="1:7" ht="31.5">
      <c r="A91" s="28" t="s">
        <v>139</v>
      </c>
      <c r="B91" s="29" t="s">
        <v>140</v>
      </c>
      <c r="C91" s="62" t="s">
        <v>141</v>
      </c>
      <c r="D91" s="63">
        <f>D86/D87*1000</f>
        <v>1131.3882547791188</v>
      </c>
      <c r="E91" s="64" t="s">
        <v>142</v>
      </c>
      <c r="F91" s="11">
        <f t="shared" si="4"/>
        <v>94.574077066841781</v>
      </c>
      <c r="G91" s="47"/>
    </row>
    <row r="92" spans="1:7">
      <c r="A92" s="13"/>
      <c r="B92" s="21" t="s">
        <v>143</v>
      </c>
      <c r="C92" s="62"/>
      <c r="D92" s="62"/>
      <c r="E92" s="16"/>
      <c r="F92" s="17"/>
      <c r="G92" s="47"/>
    </row>
    <row r="93" spans="1:7">
      <c r="A93" s="34">
        <v>8</v>
      </c>
      <c r="B93" s="35" t="s">
        <v>144</v>
      </c>
      <c r="C93" s="62" t="s">
        <v>145</v>
      </c>
      <c r="D93" s="18">
        <v>777</v>
      </c>
      <c r="E93" s="18">
        <v>680</v>
      </c>
      <c r="F93" s="25">
        <f t="shared" ref="F93" si="8">E93/D93*100</f>
        <v>87.516087516087509</v>
      </c>
      <c r="G93" s="91" t="s">
        <v>163</v>
      </c>
    </row>
    <row r="94" spans="1:7">
      <c r="A94" s="13"/>
      <c r="B94" s="14" t="s">
        <v>9</v>
      </c>
      <c r="C94" s="62"/>
      <c r="D94" s="18"/>
      <c r="E94" s="18"/>
      <c r="F94" s="17"/>
      <c r="G94" s="92"/>
    </row>
    <row r="95" spans="1:7">
      <c r="A95" s="20" t="s">
        <v>146</v>
      </c>
      <c r="B95" s="21" t="s">
        <v>147</v>
      </c>
      <c r="C95" s="32" t="s">
        <v>13</v>
      </c>
      <c r="D95" s="18">
        <v>724</v>
      </c>
      <c r="E95" s="18">
        <v>633</v>
      </c>
      <c r="F95" s="25">
        <f t="shared" ref="F95:F97" si="9">E95/D95*100</f>
        <v>87.430939226519328</v>
      </c>
      <c r="G95" s="92"/>
    </row>
    <row r="96" spans="1:7">
      <c r="A96" s="20" t="s">
        <v>148</v>
      </c>
      <c r="B96" s="21" t="s">
        <v>149</v>
      </c>
      <c r="C96" s="32" t="s">
        <v>13</v>
      </c>
      <c r="D96" s="18">
        <v>53</v>
      </c>
      <c r="E96" s="18">
        <v>47</v>
      </c>
      <c r="F96" s="25">
        <f t="shared" si="9"/>
        <v>88.679245283018872</v>
      </c>
      <c r="G96" s="93"/>
    </row>
    <row r="97" spans="1:7" ht="22.5" customHeight="1">
      <c r="A97" s="34">
        <v>9</v>
      </c>
      <c r="B97" s="35" t="s">
        <v>150</v>
      </c>
      <c r="C97" s="62" t="s">
        <v>151</v>
      </c>
      <c r="D97" s="25">
        <v>149696</v>
      </c>
      <c r="E97" s="25">
        <f>(E14+E60)/E93/6*1000</f>
        <v>186692.30392156861</v>
      </c>
      <c r="F97" s="25">
        <f t="shared" si="9"/>
        <v>124.71429024260409</v>
      </c>
      <c r="G97" s="81" t="s">
        <v>160</v>
      </c>
    </row>
    <row r="98" spans="1:7" ht="21" customHeight="1">
      <c r="A98" s="13"/>
      <c r="B98" s="14" t="s">
        <v>9</v>
      </c>
      <c r="C98" s="26"/>
      <c r="D98" s="18"/>
      <c r="E98" s="18"/>
      <c r="F98" s="17"/>
      <c r="G98" s="82"/>
    </row>
    <row r="99" spans="1:7" ht="21" customHeight="1">
      <c r="A99" s="20" t="s">
        <v>152</v>
      </c>
      <c r="B99" s="21" t="s">
        <v>153</v>
      </c>
      <c r="C99" s="32" t="s">
        <v>13</v>
      </c>
      <c r="D99" s="25">
        <v>145974</v>
      </c>
      <c r="E99" s="25">
        <f>E14/E95/6*1000</f>
        <v>182121.06371774618</v>
      </c>
      <c r="F99" s="25">
        <f t="shared" ref="F99:F100" si="10">E99/D99*100</f>
        <v>124.76267261138707</v>
      </c>
      <c r="G99" s="82"/>
    </row>
    <row r="100" spans="1:7" ht="28.5" customHeight="1">
      <c r="A100" s="20" t="s">
        <v>154</v>
      </c>
      <c r="B100" s="21" t="s">
        <v>155</v>
      </c>
      <c r="C100" s="32" t="s">
        <v>13</v>
      </c>
      <c r="D100" s="25">
        <v>200530</v>
      </c>
      <c r="E100" s="25">
        <f>E60/E96/6*1000</f>
        <v>248258.1560283688</v>
      </c>
      <c r="F100" s="25">
        <f t="shared" si="10"/>
        <v>123.80100535000689</v>
      </c>
      <c r="G100" s="83"/>
    </row>
    <row r="101" spans="1:7">
      <c r="B101" s="65"/>
      <c r="F101" s="60"/>
    </row>
  </sheetData>
  <mergeCells count="5">
    <mergeCell ref="G93:G96"/>
    <mergeCell ref="G97:G100"/>
    <mergeCell ref="A88:A90"/>
    <mergeCell ref="B88:B90"/>
    <mergeCell ref="A2:G2"/>
  </mergeCells>
  <pageMargins left="0.70866141732283472" right="0.23622047244094491" top="0.31496062992125984" bottom="0.35433070866141736" header="0.31496062992125984" footer="0.31496062992125984"/>
  <pageSetup paperSize="9" scale="62" orientation="portrait" verticalDpi="0" r:id="rId1"/>
  <rowBreaks count="1" manualBreakCount="1"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исп ТС </vt:lpstr>
      <vt:lpstr>'исп ТС '!_GoBack</vt:lpstr>
      <vt:lpstr>'исп ТС '!Заголовки_для_печати</vt:lpstr>
      <vt:lpstr>'исп ТС '!Область_печати</vt:lpstr>
    </vt:vector>
  </TitlesOfParts>
  <Company>tranzit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2017-07-19T05:09:33Z</cp:lastPrinted>
  <dcterms:created xsi:type="dcterms:W3CDTF">2017-07-14T10:14:37Z</dcterms:created>
  <dcterms:modified xsi:type="dcterms:W3CDTF">2017-07-20T04:56:21Z</dcterms:modified>
</cp:coreProperties>
</file>